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6" activeTab="0"/>
  </bookViews>
  <sheets>
    <sheet name="Consolidado BB e CEF ate 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 Saletti Schimitt</author>
  </authors>
  <commentList>
    <comment ref="C16" authorId="0">
      <text>
        <r>
          <rPr>
            <b/>
            <sz val="9"/>
            <rFont val="Tahoma"/>
            <family val="2"/>
          </rPr>
          <t>Maria Saletti Schimitt:</t>
        </r>
        <r>
          <rPr>
            <sz val="9"/>
            <rFont val="Tahoma"/>
            <family val="2"/>
          </rPr>
          <t xml:space="preserve">
Devolução meta 17/2016
018/2017 cancelado - Gerou um novo CV 28/2017</t>
        </r>
      </text>
    </comment>
    <comment ref="E72" authorId="0">
      <text>
        <r>
          <rPr>
            <b/>
            <sz val="9"/>
            <rFont val="Tahoma"/>
            <family val="2"/>
          </rPr>
          <t>Maria Saletti Schimitt:</t>
        </r>
        <r>
          <rPr>
            <sz val="9"/>
            <rFont val="Tahoma"/>
            <family val="2"/>
          </rPr>
          <t xml:space="preserve">
Vai devolver</t>
        </r>
      </text>
    </comment>
    <comment ref="D58" authorId="0">
      <text>
        <r>
          <rPr>
            <b/>
            <sz val="9"/>
            <rFont val="Tahoma"/>
            <family val="0"/>
          </rPr>
          <t>Maria Saletti Schimitt:</t>
        </r>
        <r>
          <rPr>
            <sz val="9"/>
            <rFont val="Tahoma"/>
            <family val="0"/>
          </rPr>
          <t xml:space="preserve">
CP foi para PI Verifica</t>
        </r>
      </text>
    </comment>
  </commentList>
</comments>
</file>

<file path=xl/sharedStrings.xml><?xml version="1.0" encoding="utf-8"?>
<sst xmlns="http://schemas.openxmlformats.org/spreadsheetml/2006/main" count="92" uniqueCount="86">
  <si>
    <t>RECEITA</t>
  </si>
  <si>
    <t>DESPESA</t>
  </si>
  <si>
    <t>TOTAL</t>
  </si>
  <si>
    <t xml:space="preserve">TOTAL  </t>
  </si>
  <si>
    <t>DESPESAS CONVÊNIOS</t>
  </si>
  <si>
    <t>PERÍODO</t>
  </si>
  <si>
    <t>ATÉ PERÍODO</t>
  </si>
  <si>
    <t>Credito</t>
  </si>
  <si>
    <t xml:space="preserve">ADMINISTRAÇÃO </t>
  </si>
  <si>
    <t xml:space="preserve">ADIANTAMENTO </t>
  </si>
  <si>
    <t>BOLSAS</t>
  </si>
  <si>
    <t>12/2013 - Programa de Bolsas de  Pós-Doutorado - 2014</t>
  </si>
  <si>
    <t>CONTRAPARTIDA</t>
  </si>
  <si>
    <t>OUTROS REPASSES</t>
  </si>
  <si>
    <t>20/2013 - Doutorado em Engenharia Têxtil - 2013</t>
  </si>
  <si>
    <t>OBRIGAÇÕES FUNDO DO PARANÁ</t>
  </si>
  <si>
    <t>08/2015 - Programa Institucional de Apoio a Inclusão Social - PIBIS  - 2015</t>
  </si>
  <si>
    <t>SIGFAP - 2014/2015/2016</t>
  </si>
  <si>
    <t>CHAMADAS ANO 2016</t>
  </si>
  <si>
    <t>CHAMADAS ANO 2015</t>
  </si>
  <si>
    <t>CHAMADAS ANO 2013</t>
  </si>
  <si>
    <t>CHAMADAS ANO 2012</t>
  </si>
  <si>
    <t>Vale Transporte SIGFAP</t>
  </si>
  <si>
    <t>06/2016 - Programa de Bolsas de Iniciação Científica 2016 - CV 2016</t>
  </si>
  <si>
    <t>Tecnova 2614-1</t>
  </si>
  <si>
    <t>06/2016 - Programa de Bolsas de Iniciação Científica 2016 - TC - 2016</t>
  </si>
  <si>
    <t>08/2016 - PIBIS - Programa Institucional de Apoio a Inclusão Social - CV -  2016</t>
  </si>
  <si>
    <t>Convênios Federais</t>
  </si>
  <si>
    <t>07/2016 - Programa de Bolsas de Extensão Universitária - PIBEX - 2016 - TC</t>
  </si>
  <si>
    <t>08/2016 - PIBIS - Programa Institucional de Apoio a Inclusão Social - TC -  2016</t>
  </si>
  <si>
    <t>Tecnova 2625-7</t>
  </si>
  <si>
    <t>09/2016 - Programa Institucional de Pesquisa Básica e Aplicada  - CV  2017</t>
  </si>
  <si>
    <t>09/2016 - Programa Institucional de Pesquisa Básica e Aplicada  - TC  2017</t>
  </si>
  <si>
    <t>09/2015 - Bolsa Senior -  CV  - 2015</t>
  </si>
  <si>
    <t>11/2016 - Biodiversidade do Paraná Fundação Araucária &amp; Fundação Grupo Boticário - CV - 2017</t>
  </si>
  <si>
    <t>Contrapartida Tecnova</t>
  </si>
  <si>
    <t>06/2016 - Programa de Bolsas de Iniciação Científica 2016 - CV 2017</t>
  </si>
  <si>
    <t>07/2016 - Programa de Bolsas de Extensão Universitária - PIBEX - 2017 - CV</t>
  </si>
  <si>
    <t>08/2016 - PIBIS - Programa Institucional de Apoio a Inclusão Social - CV -  2017</t>
  </si>
  <si>
    <t>13/2016 - Cooperação Internacional: Fundação Araucária/INRIA/INS2i-CNRS - TC  - 2017</t>
  </si>
  <si>
    <t>CHAMADAS ANO 2017</t>
  </si>
  <si>
    <t>PI  01/2017  - UK - ACADEMIES- RESEARCH MOBILITY - CV 2017</t>
  </si>
  <si>
    <t xml:space="preserve">Impostos e Taxas </t>
  </si>
  <si>
    <t>SENAR</t>
  </si>
  <si>
    <t>21/2012 - Bolsas de Produtividade - 2017</t>
  </si>
  <si>
    <t>06/2015 - Programa de Bolsa Técnico  - 2015 - CV</t>
  </si>
  <si>
    <t>PI  01/2017  - UK - ACADEMIES- RESEARCH MOBILITY - TC 2017</t>
  </si>
  <si>
    <t>03/2017 - Organização de Eventos das AS&amp;I -  TC  - 2017</t>
  </si>
  <si>
    <t>07/2017 - Organização de Eventos das AS&amp;I -  CV  - 2017</t>
  </si>
  <si>
    <t>03/2017 - Organização de Eventos das AS&amp;I -  CV  - 2017</t>
  </si>
  <si>
    <t>CP 04/2017 -  PIBIC &amp; PIBIT - CV - 2017</t>
  </si>
  <si>
    <t>CP 04/2017 -  PIBIC &amp; PIBIT - TC - 2017</t>
  </si>
  <si>
    <t>CP 06/2017 - Programa Institucional de Bolsas de Extensão Universitária - PIBEX - CV - 2017</t>
  </si>
  <si>
    <t>Tecnova 2614-1 a mais</t>
  </si>
  <si>
    <t>CP 06/2017 - Programa Institucional de Bolsas de Extensão Universitária - PIBEX - TC - 2017</t>
  </si>
  <si>
    <t>CP 08/2017 - Organização e Participação em Eventos - CV - 2017</t>
  </si>
  <si>
    <t>CP 08/2017 - Organização e Participação em Eventos - TC - 2017</t>
  </si>
  <si>
    <t>CP  10/2017 - Formação de Pesquisadores - TC - 2017</t>
  </si>
  <si>
    <t>CP  10/2017 - Formação de Pesquisadores - CV - 2017</t>
  </si>
  <si>
    <t>Tecnova 2614-1 Devolução</t>
  </si>
  <si>
    <t>CP 11/2017 Programa de Verticalização do Ensino Superior Estadual UENP - TC - 2017</t>
  </si>
  <si>
    <t>STARTUPS</t>
  </si>
  <si>
    <t>Repasses ADM</t>
  </si>
  <si>
    <t xml:space="preserve">07/2016 - Programa de Bolsas de Extensão Universitária - PIBEX -  CV 2016 </t>
  </si>
  <si>
    <t>14/2016 -  Programa de Apio a Pesquisa em Rede voltada a Redução do Risco de Desastres no Paraná  -  CV - 2017</t>
  </si>
  <si>
    <t>16/2016 - Parceria Universitária/ Tecnhische Hochsclule Ingolstadt - CV - 2017</t>
  </si>
  <si>
    <t>17/2016 - Programa de Parceria Universitária - Fundação Araucária AIRBUS / 
Tecnhische Hochsclule Ingolstadt - TC - 2017</t>
  </si>
  <si>
    <t>PI 02/2017 - INCT - CV - 2017</t>
  </si>
  <si>
    <t>PI 03/2017 - ERC - CV - 2017</t>
  </si>
  <si>
    <t>PI 04/2017 - MOBILITY CONFAP ITALY - TC - 2017</t>
  </si>
  <si>
    <t>PI 04/2017 -  PIBIC &amp; PIBIT - CV - 2017</t>
  </si>
  <si>
    <t>PRONEX 2013 - 45.899-3</t>
  </si>
  <si>
    <t>Renault - 3.255-9</t>
  </si>
  <si>
    <t>PPSUS 2015 - 3.048-3</t>
  </si>
  <si>
    <t>Prati Dnaduzi Cia Ltda - 3.288-5</t>
  </si>
  <si>
    <t>Apex CV 21-08/2016 - 497-0</t>
  </si>
  <si>
    <t>SENAR - 3.285-0</t>
  </si>
  <si>
    <t>SENAR - Contrapartida -  3.285-0</t>
  </si>
  <si>
    <t>SENAR - SETI - 3.285-0</t>
  </si>
  <si>
    <t>SENAR Despeas ADM - 3.285-0</t>
  </si>
  <si>
    <t>Devolução Correção Monetaria -Tecnova - 782-1</t>
  </si>
  <si>
    <t>Crédito Fundo Fomento</t>
  </si>
  <si>
    <t>CP 05/2017 - Programa Institucional de Apoio a Inclusão Social, Pesquisa e Extensão Universitária - PIBIS - CV - 2017</t>
  </si>
  <si>
    <t>CP 05/2017 - Programa Institucional de Apoio a Inclusão Social, Pesquisa e Extensão Universitária - PIBIS - TC - 2017</t>
  </si>
  <si>
    <t>FUNDAÇÃO ARAUCÁRIA</t>
  </si>
  <si>
    <t>REPASSES E/OU TRANSFERÊNCIAS DE RECURSOS - 2017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</si>
</sst>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00_);_(* \(#,##0.000\);_(* &quot;-&quot;??_);_(@_)"/>
    <numFmt numFmtId="185" formatCode="_(* #,##0.00_);_(* \(#,##0.00\);_(* \-??_);_(@_)"/>
  </numFmts>
  <fonts count="50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43" fillId="0" borderId="0" xfId="62" applyFont="1" applyAlignment="1">
      <alignment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62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177" fontId="44" fillId="0" borderId="10" xfId="62" applyFont="1" applyBorder="1" applyAlignment="1">
      <alignment/>
    </xf>
    <xf numFmtId="0" fontId="47" fillId="0" borderId="10" xfId="0" applyFont="1" applyBorder="1" applyAlignment="1">
      <alignment/>
    </xf>
    <xf numFmtId="177" fontId="47" fillId="0" borderId="10" xfId="62" applyFont="1" applyBorder="1" applyAlignment="1">
      <alignment/>
    </xf>
    <xf numFmtId="177" fontId="44" fillId="0" borderId="10" xfId="62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177" fontId="47" fillId="0" borderId="10" xfId="62" applyNumberFormat="1" applyFont="1" applyBorder="1" applyAlignment="1">
      <alignment/>
    </xf>
    <xf numFmtId="177" fontId="44" fillId="0" borderId="10" xfId="62" applyFont="1" applyFill="1" applyBorder="1" applyAlignment="1" applyProtection="1">
      <alignment/>
      <protection/>
    </xf>
    <xf numFmtId="177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wrapText="1"/>
    </xf>
    <xf numFmtId="177" fontId="47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177" fontId="47" fillId="0" borderId="10" xfId="62" applyFont="1" applyFill="1" applyBorder="1" applyAlignment="1">
      <alignment/>
    </xf>
    <xf numFmtId="177" fontId="45" fillId="0" borderId="0" xfId="62" applyFont="1" applyAlignment="1">
      <alignment/>
    </xf>
    <xf numFmtId="0" fontId="47" fillId="6" borderId="10" xfId="0" applyFont="1" applyFill="1" applyBorder="1" applyAlignment="1">
      <alignment/>
    </xf>
    <xf numFmtId="177" fontId="44" fillId="6" borderId="10" xfId="62" applyFont="1" applyFill="1" applyBorder="1" applyAlignment="1">
      <alignment/>
    </xf>
    <xf numFmtId="43" fontId="47" fillId="18" borderId="10" xfId="62" applyNumberFormat="1" applyFont="1" applyFill="1" applyBorder="1" applyAlignment="1">
      <alignment/>
    </xf>
    <xf numFmtId="177" fontId="47" fillId="18" borderId="10" xfId="62" applyFont="1" applyFill="1" applyBorder="1" applyAlignment="1">
      <alignment/>
    </xf>
    <xf numFmtId="0" fontId="47" fillId="6" borderId="10" xfId="0" applyFont="1" applyFill="1" applyBorder="1" applyAlignment="1">
      <alignment wrapText="1"/>
    </xf>
    <xf numFmtId="177" fontId="47" fillId="6" borderId="10" xfId="62" applyFont="1" applyFill="1" applyBorder="1" applyAlignment="1">
      <alignment/>
    </xf>
    <xf numFmtId="0" fontId="48" fillId="27" borderId="11" xfId="0" applyFont="1" applyFill="1" applyBorder="1" applyAlignment="1">
      <alignment horizontal="center" vertical="center"/>
    </xf>
    <xf numFmtId="177" fontId="48" fillId="27" borderId="11" xfId="62" applyFont="1" applyFill="1" applyBorder="1" applyAlignment="1">
      <alignment/>
    </xf>
    <xf numFmtId="0" fontId="47" fillId="18" borderId="10" xfId="0" applyFont="1" applyFill="1" applyBorder="1" applyAlignment="1">
      <alignment horizontal="center"/>
    </xf>
    <xf numFmtId="0" fontId="47" fillId="18" borderId="10" xfId="0" applyFont="1" applyFill="1" applyBorder="1" applyAlignment="1">
      <alignment horizontal="center" wrapText="1"/>
    </xf>
    <xf numFmtId="177" fontId="48" fillId="27" borderId="11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tegoria do Assistente de Dados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="115" zoomScaleNormal="115" zoomScaleSheetLayoutView="145" workbookViewId="0" topLeftCell="A1">
      <selection activeCell="D31" sqref="D31"/>
    </sheetView>
  </sheetViews>
  <sheetFormatPr defaultColWidth="9.140625" defaultRowHeight="12.75"/>
  <cols>
    <col min="1" max="1" width="17.28125" style="2" bestFit="1" customWidth="1"/>
    <col min="2" max="2" width="11.140625" style="2" bestFit="1" customWidth="1"/>
    <col min="3" max="3" width="12.00390625" style="2" bestFit="1" customWidth="1"/>
    <col min="4" max="4" width="87.8515625" style="2" bestFit="1" customWidth="1"/>
    <col min="5" max="5" width="11.140625" style="1" bestFit="1" customWidth="1"/>
    <col min="6" max="6" width="12.57421875" style="1" bestFit="1" customWidth="1"/>
    <col min="7" max="7" width="19.7109375" style="1" customWidth="1"/>
    <col min="8" max="8" width="14.8515625" style="2" customWidth="1"/>
    <col min="9" max="16384" width="9.140625" style="2" customWidth="1"/>
  </cols>
  <sheetData>
    <row r="1" ht="25.5" customHeight="1">
      <c r="D1" s="7" t="s">
        <v>84</v>
      </c>
    </row>
    <row r="2" ht="25.5" customHeight="1">
      <c r="D2" s="8" t="s">
        <v>85</v>
      </c>
    </row>
    <row r="3" spans="1:6" ht="24.75" customHeight="1">
      <c r="A3" s="5"/>
      <c r="B3" s="6"/>
      <c r="C3" s="5"/>
      <c r="D3" s="7"/>
      <c r="E3" s="6"/>
      <c r="F3" s="6"/>
    </row>
    <row r="4" spans="1:6" ht="25.5" customHeight="1">
      <c r="A4" s="30" t="s">
        <v>0</v>
      </c>
      <c r="B4" s="30" t="s">
        <v>5</v>
      </c>
      <c r="C4" s="30" t="s">
        <v>6</v>
      </c>
      <c r="D4" s="30" t="s">
        <v>1</v>
      </c>
      <c r="E4" s="34" t="s">
        <v>5</v>
      </c>
      <c r="F4" s="34" t="s">
        <v>6</v>
      </c>
    </row>
    <row r="5" spans="1:6" ht="12.75" customHeight="1">
      <c r="A5" s="9"/>
      <c r="B5" s="10"/>
      <c r="C5" s="9"/>
      <c r="D5" s="9"/>
      <c r="E5" s="10"/>
      <c r="F5" s="10"/>
    </row>
    <row r="6" spans="1:6" ht="12.75" customHeight="1">
      <c r="A6" s="11" t="s">
        <v>7</v>
      </c>
      <c r="B6" s="12">
        <f>SUM(B7:B8)</f>
        <v>5100959</v>
      </c>
      <c r="C6" s="12">
        <f>SUM(C7:C8)</f>
        <v>41174758</v>
      </c>
      <c r="D6" s="32" t="s">
        <v>4</v>
      </c>
      <c r="E6" s="26">
        <f>SUM(E16+E39)</f>
        <v>895316.53</v>
      </c>
      <c r="F6" s="26">
        <f>SUM(F8+F12+F16+F21)</f>
        <v>21474394.01</v>
      </c>
    </row>
    <row r="7" spans="1:6" ht="12.75" customHeight="1">
      <c r="A7" s="9" t="s">
        <v>81</v>
      </c>
      <c r="B7" s="13">
        <v>5100959</v>
      </c>
      <c r="C7" s="10">
        <f>3755780+4038182+9228000+781485+3100000+4000000+3835956+6774396+5100959</f>
        <v>40614758</v>
      </c>
      <c r="D7" s="11"/>
      <c r="E7" s="10"/>
      <c r="F7" s="12"/>
    </row>
    <row r="8" spans="1:6" ht="12.75" customHeight="1">
      <c r="A8" s="9" t="s">
        <v>35</v>
      </c>
      <c r="B8" s="10"/>
      <c r="C8" s="10">
        <f>474300+85700</f>
        <v>560000</v>
      </c>
      <c r="D8" s="24" t="s">
        <v>21</v>
      </c>
      <c r="E8" s="25">
        <f>SUM(E10:E11)</f>
        <v>0</v>
      </c>
      <c r="F8" s="25">
        <f>SUM(F10:F11)</f>
        <v>2000</v>
      </c>
    </row>
    <row r="9" spans="1:6" ht="12.75" customHeight="1">
      <c r="A9" s="9" t="s">
        <v>43</v>
      </c>
      <c r="B9" s="10"/>
      <c r="C9" s="10">
        <f>1930209.47</f>
        <v>1930209.47</v>
      </c>
      <c r="D9" s="14"/>
      <c r="E9" s="13"/>
      <c r="F9" s="13"/>
    </row>
    <row r="10" spans="1:6" ht="12.75" customHeight="1">
      <c r="A10" s="9"/>
      <c r="B10" s="10"/>
      <c r="C10" s="10"/>
      <c r="D10" s="15" t="s">
        <v>44</v>
      </c>
      <c r="E10" s="10"/>
      <c r="F10" s="13">
        <f>2000</f>
        <v>2000</v>
      </c>
    </row>
    <row r="11" spans="1:6" ht="12.75" customHeight="1">
      <c r="A11" s="11"/>
      <c r="B11" s="16"/>
      <c r="C11" s="16"/>
      <c r="D11" s="15"/>
      <c r="E11" s="10"/>
      <c r="F11" s="13"/>
    </row>
    <row r="12" spans="1:6" ht="12.75" customHeight="1">
      <c r="A12" s="9"/>
      <c r="B12" s="13"/>
      <c r="C12" s="10"/>
      <c r="D12" s="24" t="s">
        <v>20</v>
      </c>
      <c r="E12" s="25">
        <f>SUM(E13:E14)</f>
        <v>0</v>
      </c>
      <c r="F12" s="25">
        <f>SUM(F13:F14)</f>
        <v>312391</v>
      </c>
    </row>
    <row r="13" spans="1:6" ht="12.75" customHeight="1">
      <c r="A13" s="9"/>
      <c r="B13" s="13"/>
      <c r="C13" s="10"/>
      <c r="D13" s="15" t="s">
        <v>11</v>
      </c>
      <c r="E13" s="10"/>
      <c r="F13" s="10">
        <f>1700</f>
        <v>1700</v>
      </c>
    </row>
    <row r="14" spans="1:6" ht="12.75" customHeight="1">
      <c r="A14" s="9"/>
      <c r="B14" s="10"/>
      <c r="C14" s="10"/>
      <c r="D14" s="15" t="s">
        <v>14</v>
      </c>
      <c r="E14" s="10"/>
      <c r="F14" s="10">
        <f>310691</f>
        <v>310691</v>
      </c>
    </row>
    <row r="15" spans="1:6" ht="12.75" customHeight="1">
      <c r="A15" s="11"/>
      <c r="B15" s="12"/>
      <c r="C15" s="12"/>
      <c r="D15" s="10"/>
      <c r="E15" s="10"/>
      <c r="F15" s="10"/>
    </row>
    <row r="16" spans="1:6" ht="12.75" customHeight="1">
      <c r="A16" s="9"/>
      <c r="B16" s="17"/>
      <c r="C16" s="18"/>
      <c r="D16" s="24" t="s">
        <v>19</v>
      </c>
      <c r="E16" s="25">
        <f>SUM(E17:E20)</f>
        <v>30262.31</v>
      </c>
      <c r="F16" s="25">
        <f>SUM(F17:F20)</f>
        <v>3197551.68</v>
      </c>
    </row>
    <row r="17" spans="1:6" s="1" customFormat="1" ht="12.75" customHeight="1">
      <c r="A17" s="9"/>
      <c r="B17" s="13"/>
      <c r="C17" s="10"/>
      <c r="D17" s="15" t="s">
        <v>45</v>
      </c>
      <c r="E17" s="10">
        <v>26262.31</v>
      </c>
      <c r="F17" s="10">
        <f>237600+181200+278400+234400+244400+175600+459689.37+26262.31</f>
        <v>1837551.6800000002</v>
      </c>
    </row>
    <row r="18" spans="1:6" s="1" customFormat="1" ht="12.75" customHeight="1">
      <c r="A18" s="9"/>
      <c r="B18" s="13"/>
      <c r="C18" s="10"/>
      <c r="D18" s="15" t="s">
        <v>33</v>
      </c>
      <c r="E18" s="10">
        <v>4000</v>
      </c>
      <c r="F18" s="10">
        <f>108000+82000+83000+177000+135000+159000+78000+175000+359000+4000</f>
        <v>1360000</v>
      </c>
    </row>
    <row r="19" spans="1:6" s="1" customFormat="1" ht="12.75" customHeight="1">
      <c r="A19" s="9"/>
      <c r="B19" s="10"/>
      <c r="C19" s="10"/>
      <c r="D19" s="15" t="s">
        <v>16</v>
      </c>
      <c r="E19" s="10"/>
      <c r="F19" s="10"/>
    </row>
    <row r="20" spans="1:6" s="1" customFormat="1" ht="12.75" customHeight="1">
      <c r="A20" s="9"/>
      <c r="B20" s="10"/>
      <c r="C20" s="12"/>
      <c r="D20" s="15"/>
      <c r="E20" s="10"/>
      <c r="F20" s="10"/>
    </row>
    <row r="21" spans="1:6" s="1" customFormat="1" ht="12.75" customHeight="1">
      <c r="A21" s="9"/>
      <c r="B21" s="10"/>
      <c r="C21" s="10"/>
      <c r="D21" s="24" t="s">
        <v>18</v>
      </c>
      <c r="E21" s="25">
        <f>SUM(E22:E38)</f>
        <v>0</v>
      </c>
      <c r="F21" s="25">
        <f>SUM(F22:F38)</f>
        <v>17962451.330000002</v>
      </c>
    </row>
    <row r="22" spans="1:6" s="1" customFormat="1" ht="12.75" customHeight="1">
      <c r="A22" s="9"/>
      <c r="B22" s="10"/>
      <c r="C22" s="10"/>
      <c r="D22" s="19" t="s">
        <v>23</v>
      </c>
      <c r="E22" s="10"/>
      <c r="F22" s="10">
        <f>353600+560800+380800+532800+636800+298000+695600+130000+542800</f>
        <v>4131200</v>
      </c>
    </row>
    <row r="23" spans="1:6" s="1" customFormat="1" ht="12.75" customHeight="1">
      <c r="A23" s="11"/>
      <c r="B23" s="16"/>
      <c r="C23" s="20"/>
      <c r="D23" s="19" t="s">
        <v>25</v>
      </c>
      <c r="E23" s="10"/>
      <c r="F23" s="10">
        <f>19200+27200+134000+134800+230400+115200+57200+173200+114400+116000</f>
        <v>1121600</v>
      </c>
    </row>
    <row r="24" spans="1:6" s="1" customFormat="1" ht="12.75" customHeight="1">
      <c r="A24" s="9"/>
      <c r="B24" s="17"/>
      <c r="C24" s="10"/>
      <c r="D24" s="19" t="s">
        <v>36</v>
      </c>
      <c r="E24" s="10"/>
      <c r="F24" s="10">
        <f>72000</f>
        <v>72000</v>
      </c>
    </row>
    <row r="25" spans="1:6" s="1" customFormat="1" ht="12.75" customHeight="1">
      <c r="A25" s="9"/>
      <c r="B25" s="10"/>
      <c r="C25" s="10"/>
      <c r="D25" s="19" t="s">
        <v>63</v>
      </c>
      <c r="E25" s="10"/>
      <c r="F25" s="10">
        <f>19200+64400+46000+73600+147200+156400+27600</f>
        <v>534400</v>
      </c>
    </row>
    <row r="26" spans="1:6" s="1" customFormat="1" ht="12.75" customHeight="1">
      <c r="A26" s="9"/>
      <c r="B26" s="13"/>
      <c r="C26" s="10"/>
      <c r="D26" s="19" t="s">
        <v>28</v>
      </c>
      <c r="E26" s="10"/>
      <c r="F26" s="10">
        <f>9600+4400+8800+8800+13200</f>
        <v>44800</v>
      </c>
    </row>
    <row r="27" spans="1:6" s="1" customFormat="1" ht="12.75" customHeight="1">
      <c r="A27" s="9"/>
      <c r="B27" s="10"/>
      <c r="C27" s="10"/>
      <c r="D27" s="19" t="s">
        <v>37</v>
      </c>
      <c r="E27" s="10"/>
      <c r="F27" s="10">
        <f>19200</f>
        <v>19200</v>
      </c>
    </row>
    <row r="28" spans="1:6" s="1" customFormat="1" ht="12.75" customHeight="1">
      <c r="A28" s="9"/>
      <c r="B28" s="10"/>
      <c r="C28" s="10"/>
      <c r="D28" s="19" t="s">
        <v>26</v>
      </c>
      <c r="E28" s="10"/>
      <c r="F28" s="10">
        <f>57600+305600+203200+354400+409600+253600+357600+52000+356000</f>
        <v>2349600</v>
      </c>
    </row>
    <row r="29" spans="1:6" s="1" customFormat="1" ht="12.75" customHeight="1">
      <c r="A29" s="9"/>
      <c r="B29" s="10"/>
      <c r="C29" s="10"/>
      <c r="D29" s="19" t="s">
        <v>29</v>
      </c>
      <c r="E29" s="10"/>
      <c r="F29" s="10">
        <f>59600+119200+59600+17200+102000+120800</f>
        <v>478400</v>
      </c>
    </row>
    <row r="30" spans="1:6" s="1" customFormat="1" ht="12.75" customHeight="1">
      <c r="A30" s="9"/>
      <c r="B30" s="10"/>
      <c r="C30" s="10"/>
      <c r="D30" s="19" t="s">
        <v>38</v>
      </c>
      <c r="E30" s="10"/>
      <c r="F30" s="10">
        <f>72000</f>
        <v>72000</v>
      </c>
    </row>
    <row r="31" spans="1:6" s="1" customFormat="1" ht="12.75" customHeight="1">
      <c r="A31" s="9"/>
      <c r="B31" s="10"/>
      <c r="C31" s="10"/>
      <c r="D31" s="19" t="s">
        <v>31</v>
      </c>
      <c r="E31" s="10"/>
      <c r="F31" s="10">
        <f>2400000+2675000+375000+750000+150000</f>
        <v>6350000</v>
      </c>
    </row>
    <row r="32" spans="1:6" s="1" customFormat="1" ht="12.75" customHeight="1">
      <c r="A32" s="9"/>
      <c r="B32" s="10"/>
      <c r="C32" s="10"/>
      <c r="D32" s="19" t="s">
        <v>32</v>
      </c>
      <c r="E32" s="10"/>
      <c r="F32" s="10">
        <f>575000+448400+1025000</f>
        <v>2048400</v>
      </c>
    </row>
    <row r="33" spans="1:6" s="1" customFormat="1" ht="12.75" customHeight="1">
      <c r="A33" s="9"/>
      <c r="B33" s="10"/>
      <c r="C33" s="10"/>
      <c r="D33" s="19" t="s">
        <v>34</v>
      </c>
      <c r="E33" s="10"/>
      <c r="F33" s="10">
        <f>134359</f>
        <v>134359</v>
      </c>
    </row>
    <row r="34" spans="1:6" ht="12.75" customHeight="1">
      <c r="A34" s="9"/>
      <c r="B34" s="10"/>
      <c r="C34" s="10"/>
      <c r="D34" s="19" t="s">
        <v>39</v>
      </c>
      <c r="E34" s="10"/>
      <c r="F34" s="10">
        <f>97142.6</f>
        <v>97142.6</v>
      </c>
    </row>
    <row r="35" spans="1:6" ht="12.75" customHeight="1">
      <c r="A35" s="9"/>
      <c r="B35" s="10"/>
      <c r="C35" s="10"/>
      <c r="D35" s="19" t="s">
        <v>64</v>
      </c>
      <c r="E35" s="10"/>
      <c r="F35" s="10">
        <f>216000+144000</f>
        <v>360000</v>
      </c>
    </row>
    <row r="36" spans="1:6" ht="12.75" customHeight="1">
      <c r="A36" s="9"/>
      <c r="B36" s="10"/>
      <c r="C36" s="10"/>
      <c r="D36" s="19" t="s">
        <v>65</v>
      </c>
      <c r="E36" s="10"/>
      <c r="F36" s="10">
        <f>134000</f>
        <v>134000</v>
      </c>
    </row>
    <row r="37" spans="1:6" ht="12.75" customHeight="1">
      <c r="A37" s="9"/>
      <c r="B37" s="10"/>
      <c r="C37" s="10"/>
      <c r="D37" s="21" t="s">
        <v>66</v>
      </c>
      <c r="E37" s="10"/>
      <c r="F37" s="10">
        <f>15349.73</f>
        <v>15349.73</v>
      </c>
    </row>
    <row r="38" spans="1:6" ht="12.75" customHeight="1">
      <c r="A38" s="9"/>
      <c r="B38" s="10"/>
      <c r="C38" s="10"/>
      <c r="D38" s="9"/>
      <c r="E38" s="10"/>
      <c r="F38" s="10"/>
    </row>
    <row r="39" spans="1:6" ht="12.75" customHeight="1">
      <c r="A39" s="9"/>
      <c r="B39" s="10"/>
      <c r="C39" s="10"/>
      <c r="D39" s="24" t="s">
        <v>40</v>
      </c>
      <c r="E39" s="29">
        <f>SUM(E40:E59)</f>
        <v>865054.22</v>
      </c>
      <c r="F39" s="29">
        <f>SUM(F40:F60)</f>
        <v>12712064.55</v>
      </c>
    </row>
    <row r="40" spans="1:6" ht="12.75" customHeight="1">
      <c r="A40" s="9"/>
      <c r="B40" s="10"/>
      <c r="C40" s="10"/>
      <c r="D40" s="19" t="s">
        <v>46</v>
      </c>
      <c r="E40" s="10"/>
      <c r="F40" s="13">
        <f>47900</f>
        <v>47900</v>
      </c>
    </row>
    <row r="41" spans="1:6" ht="12.75" customHeight="1">
      <c r="A41" s="9"/>
      <c r="B41" s="10"/>
      <c r="C41" s="10"/>
      <c r="D41" s="19" t="s">
        <v>41</v>
      </c>
      <c r="E41" s="10"/>
      <c r="F41" s="10">
        <f>16500+12820</f>
        <v>29320</v>
      </c>
    </row>
    <row r="42" spans="1:6" ht="12.75" customHeight="1">
      <c r="A42" s="9"/>
      <c r="B42" s="10"/>
      <c r="C42" s="10"/>
      <c r="D42" s="19" t="s">
        <v>49</v>
      </c>
      <c r="E42" s="10"/>
      <c r="F42" s="10">
        <f>26920+87032</f>
        <v>113952</v>
      </c>
    </row>
    <row r="43" spans="1:6" ht="12.75" customHeight="1">
      <c r="A43" s="9"/>
      <c r="B43" s="10"/>
      <c r="C43" s="10"/>
      <c r="D43" s="19" t="s">
        <v>47</v>
      </c>
      <c r="E43" s="10"/>
      <c r="F43" s="10">
        <f>15000+73965+46999</f>
        <v>135964</v>
      </c>
    </row>
    <row r="44" spans="1:6" ht="12.75" customHeight="1">
      <c r="A44" s="9"/>
      <c r="B44" s="10"/>
      <c r="C44" s="10"/>
      <c r="D44" s="19" t="s">
        <v>50</v>
      </c>
      <c r="E44" s="10">
        <v>92000</v>
      </c>
      <c r="F44" s="10">
        <f>741600+684400+1309600+901600+92000</f>
        <v>3729200</v>
      </c>
    </row>
    <row r="45" spans="1:6" ht="12.75" customHeight="1">
      <c r="A45" s="9"/>
      <c r="B45" s="10"/>
      <c r="C45" s="10"/>
      <c r="D45" s="19" t="s">
        <v>51</v>
      </c>
      <c r="E45" s="10"/>
      <c r="F45" s="10">
        <f>62400+278800+518800+230400</f>
        <v>1090400</v>
      </c>
    </row>
    <row r="46" spans="1:6" ht="12.75" customHeight="1">
      <c r="A46" s="9"/>
      <c r="B46" s="10"/>
      <c r="C46" s="10"/>
      <c r="D46" s="19" t="s">
        <v>82</v>
      </c>
      <c r="E46" s="10"/>
      <c r="F46" s="10">
        <f>426400+587600+697600+642400</f>
        <v>2354000</v>
      </c>
    </row>
    <row r="47" spans="1:6" ht="12.75" customHeight="1">
      <c r="A47" s="9"/>
      <c r="B47" s="10"/>
      <c r="C47" s="10"/>
      <c r="D47" s="19" t="s">
        <v>83</v>
      </c>
      <c r="E47" s="10"/>
      <c r="F47" s="10">
        <f>42400+63600+224800</f>
        <v>330800</v>
      </c>
    </row>
    <row r="48" spans="1:6" ht="12.75" customHeight="1">
      <c r="A48" s="9"/>
      <c r="B48" s="10"/>
      <c r="C48" s="10"/>
      <c r="D48" s="19" t="s">
        <v>52</v>
      </c>
      <c r="E48" s="10">
        <v>18400</v>
      </c>
      <c r="F48" s="10">
        <f>101600+100000+162000+118400+18400</f>
        <v>500400</v>
      </c>
    </row>
    <row r="49" spans="1:6" ht="12.75" customHeight="1">
      <c r="A49" s="9"/>
      <c r="B49" s="10"/>
      <c r="C49" s="10"/>
      <c r="D49" s="19" t="s">
        <v>54</v>
      </c>
      <c r="E49" s="10"/>
      <c r="F49" s="10">
        <f>14400+14400+17600</f>
        <v>46400</v>
      </c>
    </row>
    <row r="50" spans="1:6" ht="12.75" customHeight="1">
      <c r="A50" s="9"/>
      <c r="B50" s="10"/>
      <c r="C50" s="10"/>
      <c r="D50" s="19" t="s">
        <v>48</v>
      </c>
      <c r="E50" s="10"/>
      <c r="F50" s="10">
        <f>250102+40000</f>
        <v>290102</v>
      </c>
    </row>
    <row r="51" spans="1:6" ht="12.75" customHeight="1">
      <c r="A51" s="9"/>
      <c r="B51" s="10"/>
      <c r="C51" s="10"/>
      <c r="D51" s="19" t="s">
        <v>55</v>
      </c>
      <c r="E51" s="10"/>
      <c r="F51" s="10">
        <f>1099999.99+150000+324850.5</f>
        <v>1574850.49</v>
      </c>
    </row>
    <row r="52" spans="1:6" ht="12.75" customHeight="1">
      <c r="A52" s="9"/>
      <c r="B52" s="10"/>
      <c r="C52" s="10"/>
      <c r="D52" s="19" t="s">
        <v>56</v>
      </c>
      <c r="E52" s="10">
        <v>34750</v>
      </c>
      <c r="F52" s="10">
        <f>558415.87+49846+34750</f>
        <v>643011.87</v>
      </c>
    </row>
    <row r="53" spans="1:6" ht="12.75" customHeight="1">
      <c r="A53" s="9"/>
      <c r="B53" s="10"/>
      <c r="C53" s="10"/>
      <c r="D53" s="19" t="s">
        <v>57</v>
      </c>
      <c r="E53" s="10"/>
      <c r="F53" s="10">
        <f>10610+11800</f>
        <v>22410</v>
      </c>
    </row>
    <row r="54" spans="1:6" ht="12.75" customHeight="1">
      <c r="A54" s="9"/>
      <c r="B54" s="10"/>
      <c r="C54" s="10"/>
      <c r="D54" s="19" t="s">
        <v>58</v>
      </c>
      <c r="E54" s="10"/>
      <c r="F54" s="10">
        <f>35748</f>
        <v>35748</v>
      </c>
    </row>
    <row r="55" spans="1:6" ht="12.75" customHeight="1">
      <c r="A55" s="9"/>
      <c r="B55" s="10"/>
      <c r="C55" s="10"/>
      <c r="D55" s="19" t="s">
        <v>60</v>
      </c>
      <c r="E55" s="10">
        <v>719904.22</v>
      </c>
      <c r="F55" s="10">
        <f>719904.22</f>
        <v>719904.22</v>
      </c>
    </row>
    <row r="56" spans="1:6" ht="12.75" customHeight="1">
      <c r="A56" s="9"/>
      <c r="B56" s="10"/>
      <c r="C56" s="10"/>
      <c r="D56" s="19" t="s">
        <v>67</v>
      </c>
      <c r="E56" s="10"/>
      <c r="F56" s="10">
        <f>879025.97</f>
        <v>879025.97</v>
      </c>
    </row>
    <row r="57" spans="1:6" ht="12.75" customHeight="1">
      <c r="A57" s="9"/>
      <c r="B57" s="10"/>
      <c r="C57" s="10"/>
      <c r="D57" s="19" t="s">
        <v>68</v>
      </c>
      <c r="E57" s="10"/>
      <c r="F57" s="10">
        <f>29650</f>
        <v>29650</v>
      </c>
    </row>
    <row r="58" spans="1:6" ht="12.75" customHeight="1">
      <c r="A58" s="9"/>
      <c r="B58" s="10"/>
      <c r="C58" s="10"/>
      <c r="D58" s="19" t="s">
        <v>70</v>
      </c>
      <c r="E58" s="10"/>
      <c r="F58" s="10">
        <f>109418</f>
        <v>109418</v>
      </c>
    </row>
    <row r="59" spans="1:6" ht="12.75" customHeight="1">
      <c r="A59" s="9"/>
      <c r="B59" s="10"/>
      <c r="C59" s="10"/>
      <c r="D59" s="19" t="s">
        <v>69</v>
      </c>
      <c r="E59" s="10"/>
      <c r="F59" s="10">
        <f>29608</f>
        <v>29608</v>
      </c>
    </row>
    <row r="60" spans="1:6" ht="12.75" customHeight="1">
      <c r="A60" s="9"/>
      <c r="B60" s="10"/>
      <c r="C60" s="10"/>
      <c r="D60" s="10"/>
      <c r="E60" s="10"/>
      <c r="F60" s="10"/>
    </row>
    <row r="61" spans="1:6" s="23" customFormat="1" ht="12.75" customHeight="1">
      <c r="A61" s="11"/>
      <c r="B61" s="12"/>
      <c r="C61" s="12"/>
      <c r="D61" s="33" t="s">
        <v>13</v>
      </c>
      <c r="E61" s="27">
        <f>SUM(E63+E67+E74+E89+E93)</f>
        <v>831388.15</v>
      </c>
      <c r="F61" s="27">
        <f>SUM(F63+F67+F74+F89+F93)</f>
        <v>11193617.92</v>
      </c>
    </row>
    <row r="62" spans="1:6" s="1" customFormat="1" ht="12.75" customHeight="1">
      <c r="A62" s="9"/>
      <c r="B62" s="10"/>
      <c r="C62" s="10"/>
      <c r="D62" s="15"/>
      <c r="E62" s="10"/>
      <c r="F62" s="10"/>
    </row>
    <row r="63" spans="1:6" s="1" customFormat="1" ht="12.75" customHeight="1">
      <c r="A63" s="9"/>
      <c r="B63" s="10"/>
      <c r="C63" s="10"/>
      <c r="D63" s="28" t="s">
        <v>10</v>
      </c>
      <c r="E63" s="29">
        <f>SUM(E64:E65)</f>
        <v>12229.5</v>
      </c>
      <c r="F63" s="29">
        <f>SUM(F64:F65)</f>
        <v>84493.67</v>
      </c>
    </row>
    <row r="64" spans="1:6" s="1" customFormat="1" ht="12.75" customHeight="1">
      <c r="A64" s="9"/>
      <c r="B64" s="10"/>
      <c r="C64" s="10"/>
      <c r="D64" s="15" t="s">
        <v>17</v>
      </c>
      <c r="E64" s="10">
        <v>12000</v>
      </c>
      <c r="F64" s="10">
        <f>10000+16000+8000+12466.67+6000+12000+6000+12000</f>
        <v>82466.67</v>
      </c>
    </row>
    <row r="65" spans="1:6" s="1" customFormat="1" ht="12.75" customHeight="1">
      <c r="A65" s="9"/>
      <c r="B65" s="10"/>
      <c r="C65" s="10"/>
      <c r="D65" s="15" t="s">
        <v>22</v>
      </c>
      <c r="E65" s="10">
        <v>229.5</v>
      </c>
      <c r="F65" s="10">
        <f>125.8+133.2+195.5+153+187+170+178.5+195.5+161.5+127.5+170+229.5</f>
        <v>2027</v>
      </c>
    </row>
    <row r="66" spans="1:6" s="1" customFormat="1" ht="12.75" customHeight="1">
      <c r="A66" s="9"/>
      <c r="B66" s="10"/>
      <c r="C66" s="10"/>
      <c r="D66" s="9"/>
      <c r="E66" s="13"/>
      <c r="F66" s="13"/>
    </row>
    <row r="67" spans="1:6" s="1" customFormat="1" ht="12.75" customHeight="1">
      <c r="A67" s="9"/>
      <c r="B67" s="10"/>
      <c r="C67" s="10"/>
      <c r="D67" s="24" t="s">
        <v>9</v>
      </c>
      <c r="E67" s="29">
        <f>SUM(E68:E72)</f>
        <v>2100</v>
      </c>
      <c r="F67" s="29">
        <f>SUM(F68:F73)</f>
        <v>2100</v>
      </c>
    </row>
    <row r="68" spans="1:6" s="1" customFormat="1" ht="12.75" customHeight="1">
      <c r="A68" s="9"/>
      <c r="B68" s="10"/>
      <c r="C68" s="10"/>
      <c r="D68" s="9" t="s">
        <v>30</v>
      </c>
      <c r="E68" s="10"/>
      <c r="F68" s="13">
        <f>164400+229100</f>
        <v>393500</v>
      </c>
    </row>
    <row r="69" spans="1:6" s="1" customFormat="1" ht="12.75" customHeight="1">
      <c r="A69" s="9"/>
      <c r="B69" s="10"/>
      <c r="C69" s="10"/>
      <c r="D69" s="9" t="s">
        <v>30</v>
      </c>
      <c r="E69" s="10"/>
      <c r="F69" s="13">
        <v>-393500</v>
      </c>
    </row>
    <row r="70" spans="1:6" s="1" customFormat="1" ht="12.75" customHeight="1">
      <c r="A70" s="9"/>
      <c r="B70" s="10"/>
      <c r="C70" s="10"/>
      <c r="D70" s="9" t="s">
        <v>24</v>
      </c>
      <c r="E70" s="10"/>
      <c r="F70" s="13">
        <f>21168+3000</f>
        <v>24168</v>
      </c>
    </row>
    <row r="71" spans="1:6" s="1" customFormat="1" ht="12.75" customHeight="1">
      <c r="A71" s="9"/>
      <c r="B71" s="10"/>
      <c r="C71" s="10"/>
      <c r="D71" s="9" t="s">
        <v>24</v>
      </c>
      <c r="E71" s="10"/>
      <c r="F71" s="13">
        <f>-21168-3000</f>
        <v>-24168</v>
      </c>
    </row>
    <row r="72" spans="1:6" s="1" customFormat="1" ht="12.75" customHeight="1">
      <c r="A72" s="9"/>
      <c r="B72" s="10"/>
      <c r="C72" s="10"/>
      <c r="D72" s="9" t="s">
        <v>24</v>
      </c>
      <c r="E72" s="10">
        <v>2100</v>
      </c>
      <c r="F72" s="13">
        <f>2100</f>
        <v>2100</v>
      </c>
    </row>
    <row r="73" spans="1:6" s="1" customFormat="1" ht="12.75" customHeight="1">
      <c r="A73" s="9"/>
      <c r="B73" s="10"/>
      <c r="C73" s="10"/>
      <c r="D73" s="9"/>
      <c r="E73" s="10"/>
      <c r="F73" s="10"/>
    </row>
    <row r="74" spans="1:6" s="1" customFormat="1" ht="12.75" customHeight="1">
      <c r="A74" s="9"/>
      <c r="B74" s="10"/>
      <c r="C74" s="10"/>
      <c r="D74" s="24" t="s">
        <v>12</v>
      </c>
      <c r="E74" s="29">
        <f>SUM(E75:E88)</f>
        <v>322371.5</v>
      </c>
      <c r="F74" s="29">
        <f>SUM(F75:F88)</f>
        <v>6824641.92</v>
      </c>
    </row>
    <row r="75" spans="1:6" s="1" customFormat="1" ht="12.75" customHeight="1">
      <c r="A75" s="9"/>
      <c r="B75" s="10"/>
      <c r="C75" s="10"/>
      <c r="D75" s="9" t="s">
        <v>71</v>
      </c>
      <c r="E75" s="10"/>
      <c r="F75" s="10">
        <f>403425.27</f>
        <v>403425.27</v>
      </c>
    </row>
    <row r="76" spans="1:6" s="1" customFormat="1" ht="12.75" customHeight="1">
      <c r="A76" s="9"/>
      <c r="B76" s="10"/>
      <c r="C76" s="10"/>
      <c r="D76" s="9" t="s">
        <v>24</v>
      </c>
      <c r="E76" s="10"/>
      <c r="F76" s="13">
        <f>474300+85700</f>
        <v>560000</v>
      </c>
    </row>
    <row r="77" spans="1:6" s="1" customFormat="1" ht="12.75" customHeight="1">
      <c r="A77" s="9"/>
      <c r="B77" s="10"/>
      <c r="C77" s="10"/>
      <c r="D77" s="9" t="s">
        <v>53</v>
      </c>
      <c r="E77" s="10"/>
      <c r="F77" s="13">
        <f>1800</f>
        <v>1800</v>
      </c>
    </row>
    <row r="78" spans="1:6" s="1" customFormat="1" ht="12.75" customHeight="1">
      <c r="A78" s="9"/>
      <c r="B78" s="10"/>
      <c r="C78" s="10"/>
      <c r="D78" s="9" t="s">
        <v>59</v>
      </c>
      <c r="E78" s="10"/>
      <c r="F78" s="13">
        <v>-1800</v>
      </c>
    </row>
    <row r="79" spans="1:6" s="1" customFormat="1" ht="12.75" customHeight="1">
      <c r="A79" s="9"/>
      <c r="B79" s="10"/>
      <c r="C79" s="10"/>
      <c r="D79" s="9" t="s">
        <v>72</v>
      </c>
      <c r="E79" s="10"/>
      <c r="F79" s="10">
        <f>168942+168942</f>
        <v>337884</v>
      </c>
    </row>
    <row r="80" spans="1:6" s="1" customFormat="1" ht="12.75" customHeight="1">
      <c r="A80" s="9"/>
      <c r="B80" s="10"/>
      <c r="C80" s="10"/>
      <c r="D80" s="9" t="s">
        <v>73</v>
      </c>
      <c r="E80" s="10"/>
      <c r="F80" s="10">
        <v>1000000</v>
      </c>
    </row>
    <row r="81" spans="1:6" ht="12.75" customHeight="1">
      <c r="A81" s="9"/>
      <c r="B81" s="10"/>
      <c r="C81" s="10"/>
      <c r="D81" s="9" t="s">
        <v>74</v>
      </c>
      <c r="E81" s="10"/>
      <c r="F81" s="10">
        <f>56400</f>
        <v>56400</v>
      </c>
    </row>
    <row r="82" spans="1:6" ht="12.75" customHeight="1">
      <c r="A82" s="9"/>
      <c r="B82" s="10"/>
      <c r="C82" s="10"/>
      <c r="D82" s="9" t="s">
        <v>75</v>
      </c>
      <c r="E82" s="10">
        <v>72371.5</v>
      </c>
      <c r="F82" s="10">
        <f>291766.4+78121.5+78121.5+159839.73+72371.5</f>
        <v>680220.63</v>
      </c>
    </row>
    <row r="83" spans="1:6" ht="12.75" customHeight="1">
      <c r="A83" s="9"/>
      <c r="B83" s="10"/>
      <c r="C83" s="10"/>
      <c r="D83" s="9" t="s">
        <v>79</v>
      </c>
      <c r="E83" s="10"/>
      <c r="F83" s="10">
        <f>15000+5320</f>
        <v>20320</v>
      </c>
    </row>
    <row r="84" spans="1:6" ht="12.75" customHeight="1">
      <c r="A84" s="9"/>
      <c r="B84" s="10"/>
      <c r="C84" s="10"/>
      <c r="D84" s="9" t="s">
        <v>77</v>
      </c>
      <c r="E84" s="10"/>
      <c r="F84" s="10">
        <f>586182.55</f>
        <v>586182.55</v>
      </c>
    </row>
    <row r="85" spans="1:6" ht="12.75" customHeight="1">
      <c r="A85" s="9"/>
      <c r="B85" s="10"/>
      <c r="C85" s="10"/>
      <c r="D85" s="9" t="s">
        <v>78</v>
      </c>
      <c r="E85" s="10"/>
      <c r="F85" s="10">
        <f>1000000</f>
        <v>1000000</v>
      </c>
    </row>
    <row r="86" spans="1:6" ht="12.75" customHeight="1">
      <c r="A86" s="9"/>
      <c r="B86" s="10"/>
      <c r="C86" s="10"/>
      <c r="D86" s="9" t="s">
        <v>76</v>
      </c>
      <c r="E86" s="10"/>
      <c r="F86" s="10">
        <v>1930209.47</v>
      </c>
    </row>
    <row r="87" spans="1:6" ht="12.75" customHeight="1">
      <c r="A87" s="9"/>
      <c r="B87" s="10"/>
      <c r="C87" s="10"/>
      <c r="D87" s="9" t="s">
        <v>61</v>
      </c>
      <c r="E87" s="10">
        <v>250000</v>
      </c>
      <c r="F87" s="10">
        <f>250000</f>
        <v>250000</v>
      </c>
    </row>
    <row r="88" spans="1:6" ht="12.75" customHeight="1">
      <c r="A88" s="9"/>
      <c r="B88" s="10"/>
      <c r="C88" s="10"/>
      <c r="D88" s="9"/>
      <c r="E88" s="10"/>
      <c r="F88" s="10"/>
    </row>
    <row r="89" spans="1:6" ht="12.75" customHeight="1">
      <c r="A89" s="9"/>
      <c r="B89" s="10"/>
      <c r="C89" s="10"/>
      <c r="D89" s="24" t="s">
        <v>8</v>
      </c>
      <c r="E89" s="29">
        <f>SUM(E90:E91)</f>
        <v>468000</v>
      </c>
      <c r="F89" s="29">
        <f>SUM(F90:F91)</f>
        <v>4251420.76</v>
      </c>
    </row>
    <row r="90" spans="1:6" s="1" customFormat="1" ht="12.75" customHeight="1">
      <c r="A90" s="11"/>
      <c r="B90" s="16"/>
      <c r="C90" s="20"/>
      <c r="D90" s="9" t="s">
        <v>62</v>
      </c>
      <c r="E90" s="13">
        <v>300000</v>
      </c>
      <c r="F90" s="13">
        <f>300000+300000+300000+600000+300000+300000+300000+600000+300000+300000</f>
        <v>3600000</v>
      </c>
    </row>
    <row r="91" spans="1:6" s="1" customFormat="1" ht="12.75" customHeight="1">
      <c r="A91" s="9"/>
      <c r="B91" s="13"/>
      <c r="C91" s="10"/>
      <c r="D91" s="9" t="s">
        <v>27</v>
      </c>
      <c r="E91" s="13">
        <v>168000</v>
      </c>
      <c r="F91" s="22">
        <f>357645.39+125775.37+168000</f>
        <v>651420.76</v>
      </c>
    </row>
    <row r="92" spans="1:6" s="1" customFormat="1" ht="12.75" customHeight="1">
      <c r="A92" s="9"/>
      <c r="B92" s="13"/>
      <c r="C92" s="10"/>
      <c r="D92" s="9"/>
      <c r="E92" s="13"/>
      <c r="F92" s="22"/>
    </row>
    <row r="93" spans="1:6" s="1" customFormat="1" ht="12.75" customHeight="1">
      <c r="A93" s="9"/>
      <c r="B93" s="10"/>
      <c r="C93" s="18"/>
      <c r="D93" s="24" t="s">
        <v>15</v>
      </c>
      <c r="E93" s="29">
        <f>SUM(E94:E96)</f>
        <v>26687.15</v>
      </c>
      <c r="F93" s="29">
        <f>SUM(F94:F96)</f>
        <v>30961.57</v>
      </c>
    </row>
    <row r="94" spans="1:6" s="1" customFormat="1" ht="12.75" customHeight="1">
      <c r="A94" s="9"/>
      <c r="B94" s="10"/>
      <c r="C94" s="18"/>
      <c r="D94" s="9" t="s">
        <v>42</v>
      </c>
      <c r="E94" s="10"/>
      <c r="F94" s="13">
        <f>645.95+30+312.95+400+338.4+394.8+488.8+1663.52</f>
        <v>4274.42</v>
      </c>
    </row>
    <row r="95" spans="1:6" s="1" customFormat="1" ht="12.75" customHeight="1">
      <c r="A95" s="9"/>
      <c r="B95" s="10"/>
      <c r="C95" s="18"/>
      <c r="D95" s="9" t="s">
        <v>80</v>
      </c>
      <c r="E95" s="10">
        <v>26687.15</v>
      </c>
      <c r="F95" s="13">
        <f>26687.15</f>
        <v>26687.15</v>
      </c>
    </row>
    <row r="96" spans="1:6" s="1" customFormat="1" ht="12.75" customHeight="1">
      <c r="A96" s="9"/>
      <c r="B96" s="10"/>
      <c r="C96" s="9"/>
      <c r="D96" s="9"/>
      <c r="E96" s="10"/>
      <c r="F96" s="10"/>
    </row>
    <row r="97" spans="1:6" s="1" customFormat="1" ht="12.75" customHeight="1">
      <c r="A97" s="30" t="s">
        <v>3</v>
      </c>
      <c r="B97" s="31">
        <f>SUM(B6+B9+B11+B15)</f>
        <v>5100959</v>
      </c>
      <c r="C97" s="31">
        <f>SUM(C6+C9+C11+C15)</f>
        <v>43104967.47</v>
      </c>
      <c r="D97" s="30" t="s">
        <v>2</v>
      </c>
      <c r="E97" s="31">
        <f>SUM(E6+E61)</f>
        <v>1726704.6800000002</v>
      </c>
      <c r="F97" s="31">
        <f>SUM(F6+F39+F61)</f>
        <v>45380076.480000004</v>
      </c>
    </row>
    <row r="98" ht="12.75">
      <c r="B98" s="1"/>
    </row>
    <row r="99" spans="1:4" s="1" customFormat="1" ht="19.5" customHeight="1">
      <c r="A99" s="2"/>
      <c r="C99" s="3"/>
      <c r="D99" s="2"/>
    </row>
    <row r="100" spans="1:4" s="1" customFormat="1" ht="19.5" customHeight="1">
      <c r="A100" s="2"/>
      <c r="C100" s="3"/>
      <c r="D100" s="2"/>
    </row>
    <row r="101" spans="1:4" s="1" customFormat="1" ht="19.5" customHeight="1">
      <c r="A101" s="2"/>
      <c r="C101" s="3"/>
      <c r="D101" s="2"/>
    </row>
    <row r="102" spans="1:4" s="1" customFormat="1" ht="19.5" customHeight="1">
      <c r="A102" s="2"/>
      <c r="C102" s="2"/>
      <c r="D102" s="2"/>
    </row>
    <row r="103" spans="1:4" s="1" customFormat="1" ht="19.5" customHeight="1">
      <c r="A103" s="2"/>
      <c r="B103" s="3"/>
      <c r="C103" s="2"/>
      <c r="D103" s="2"/>
    </row>
    <row r="104" spans="1:4" s="1" customFormat="1" ht="19.5" customHeight="1">
      <c r="A104" s="2"/>
      <c r="B104" s="4"/>
      <c r="C104" s="2"/>
      <c r="D104" s="2"/>
    </row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pans="5:6" s="1" customFormat="1" ht="12.75">
      <c r="E132" s="1">
        <f>SUM(E100:E131)</f>
        <v>0</v>
      </c>
      <c r="F132" s="1">
        <f>SUM(F100:F131)</f>
        <v>0</v>
      </c>
    </row>
  </sheetData>
  <sheetProtection/>
  <printOptions horizontalCentered="1" verticalCentered="1"/>
  <pageMargins left="0.11811023622047244" right="0.11811023622047244" top="0.11811023622047244" bottom="0.11811023622047244" header="0.11811023622047244" footer="0.11811023622047244"/>
  <pageSetup fitToHeight="1" fitToWidth="1" horizontalDpi="300" verticalDpi="3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97 Professional</dc:creator>
  <cp:keywords/>
  <dc:description/>
  <cp:lastModifiedBy>Marcelo Barao</cp:lastModifiedBy>
  <cp:lastPrinted>2018-07-27T14:55:13Z</cp:lastPrinted>
  <dcterms:created xsi:type="dcterms:W3CDTF">2001-01-22T12:55:24Z</dcterms:created>
  <dcterms:modified xsi:type="dcterms:W3CDTF">2018-07-27T14:56:42Z</dcterms:modified>
  <cp:category/>
  <cp:version/>
  <cp:contentType/>
  <cp:contentStatus/>
</cp:coreProperties>
</file>